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45621"/>
</workbook>
</file>

<file path=xl/calcChain.xml><?xml version="1.0" encoding="utf-8"?>
<calcChain xmlns="http://schemas.openxmlformats.org/spreadsheetml/2006/main">
  <c r="O73" i="1" l="1"/>
  <c r="G73" i="1"/>
  <c r="E69" i="1"/>
  <c r="E68" i="1"/>
  <c r="E59" i="1"/>
  <c r="E57" i="1"/>
  <c r="E56" i="1"/>
  <c r="E55" i="1"/>
  <c r="E48" i="1"/>
  <c r="E47" i="1"/>
  <c r="E46" i="1"/>
  <c r="E10" i="1"/>
  <c r="E72" i="1" l="1"/>
  <c r="Q73" i="1" l="1"/>
  <c r="M73" i="1"/>
  <c r="R73" i="1" s="1"/>
  <c r="E73" i="1"/>
  <c r="J73" i="1" s="1"/>
  <c r="Q72" i="1"/>
  <c r="M72" i="1" s="1"/>
  <c r="R72" i="1" s="1"/>
  <c r="J72" i="1"/>
  <c r="S73" i="1" l="1"/>
  <c r="S72" i="1"/>
  <c r="M10" i="1" l="1"/>
  <c r="D60" i="1" l="1"/>
  <c r="L12" i="1" l="1"/>
  <c r="K12" i="1"/>
  <c r="F12" i="1" l="1"/>
  <c r="F11" i="1"/>
  <c r="I74" i="1" l="1"/>
  <c r="M57" i="1" l="1"/>
  <c r="L57" i="1"/>
  <c r="M56" i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F26" i="1"/>
  <c r="E26" i="1" s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N11" i="1" s="1"/>
  <c r="R56" i="1" l="1"/>
  <c r="S56" i="1" s="1"/>
  <c r="R57" i="1"/>
  <c r="S57" i="1" s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F16" i="1"/>
  <c r="E16" i="1" s="1"/>
  <c r="F15" i="1"/>
  <c r="E15" i="1" s="1"/>
  <c r="E12" i="1"/>
  <c r="R65" i="1" l="1"/>
  <c r="S65" i="1" s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 s="1"/>
  <c r="R38" i="1"/>
  <c r="J38" i="1"/>
  <c r="E70" i="1" l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30" i="1"/>
  <c r="J33" i="1" l="1"/>
  <c r="E35" i="1"/>
  <c r="R34" i="1"/>
  <c r="J34" i="1"/>
  <c r="R42" i="1"/>
  <c r="R43" i="1" s="1"/>
  <c r="R35" i="1"/>
  <c r="J39" i="1"/>
  <c r="J40" i="1" s="1"/>
  <c r="E17" i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M61" i="1" s="1"/>
  <c r="E61" i="1" s="1"/>
  <c r="O60" i="1"/>
  <c r="M60" i="1" s="1"/>
  <c r="E60" i="1" s="1"/>
  <c r="E62" i="1" s="1"/>
  <c r="O59" i="1"/>
  <c r="M47" i="1"/>
  <c r="M48" i="1"/>
  <c r="M49" i="1"/>
  <c r="M50" i="1"/>
  <c r="M51" i="1"/>
  <c r="R36" i="1" l="1"/>
  <c r="J36" i="1"/>
  <c r="M43" i="1"/>
  <c r="E44" i="1"/>
  <c r="R10" i="1"/>
  <c r="M70" i="1"/>
  <c r="Q59" i="1"/>
  <c r="M59" i="1" s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11" i="1" s="1"/>
  <c r="E11" i="1" s="1"/>
  <c r="E13" i="1" l="1"/>
  <c r="E18" i="1" s="1"/>
  <c r="J11" i="1"/>
  <c r="M62" i="1"/>
  <c r="M74" i="1"/>
  <c r="M40" i="1"/>
  <c r="M44" i="1" s="1"/>
  <c r="M22" i="1"/>
  <c r="M23" i="1" s="1"/>
  <c r="M16" i="1"/>
  <c r="M17" i="1" s="1"/>
  <c r="M26" i="1"/>
  <c r="M27" i="1" s="1"/>
  <c r="M12" i="1"/>
  <c r="M13" i="1" s="1"/>
  <c r="R21" i="1"/>
  <c r="R15" i="1"/>
  <c r="R25" i="1"/>
  <c r="R11" i="1"/>
  <c r="S35" i="1"/>
  <c r="M52" i="1"/>
  <c r="J10" i="1"/>
  <c r="J13" i="1" s="1"/>
  <c r="R74" i="1" l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D61" i="1"/>
  <c r="J61" i="1" s="1"/>
  <c r="L60" i="1"/>
  <c r="R60" i="1" s="1"/>
  <c r="J60" i="1"/>
  <c r="L59" i="1"/>
  <c r="R59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R62" i="1" l="1"/>
  <c r="J62" i="1"/>
  <c r="S41" i="1"/>
  <c r="J43" i="1"/>
  <c r="R70" i="1"/>
  <c r="R52" i="1"/>
  <c r="S38" i="1"/>
  <c r="J52" i="1"/>
  <c r="S36" i="1"/>
  <c r="S13" i="1"/>
  <c r="S49" i="1"/>
  <c r="S61" i="1"/>
  <c r="J74" i="1"/>
  <c r="S12" i="1"/>
  <c r="S16" i="1"/>
  <c r="S14" i="1"/>
  <c r="J70" i="1"/>
  <c r="S46" i="1"/>
  <c r="S50" i="1"/>
  <c r="S60" i="1"/>
  <c r="S68" i="1"/>
  <c r="S59" i="1"/>
  <c r="S47" i="1"/>
  <c r="S51" i="1"/>
  <c r="S48" i="1"/>
  <c r="S62" i="1" l="1"/>
  <c r="R75" i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<sst xmlns="http://schemas.openxmlformats.org/spreadsheetml/2006/main" count="252" uniqueCount="74">
  <si>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</si>
  <si>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</si>
  <si>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</si>
  <si>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</si>
  <si>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</si>
  <si>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</si>
  <si>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</si>
  <si>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</si>
  <si>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</si>
  <si>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</si>
  <si>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</si>
  <si>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</si>
  <si>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</si>
  <si>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</si>
  <si>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</si>
  <si>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</si>
  <si>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</si>
  <si>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</si>
  <si>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</si>
  <si>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</si>
  <si>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</si>
  <si>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</si>
  <si>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</si>
  <si>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</si>
  <si>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</si>
  <si>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</si>
  <si>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</si>
  <si>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</si>
  <si>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</si>
  <si>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</si>
  <si>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</si>
  <si>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</si>
  <si>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</si>
  <si>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</si>
  <si>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</si>
  <si>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</si>
  <si>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</si>
  <si>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</si>
  <si>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</si>
  <si>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</si>
  <si>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</si>
  <si>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</si>
  <si>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</si>
  <si>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</si>
  <si>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</si>
  <si>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</si>
  <si>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</si>
  <si>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</si>
  <si>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</si>
  <si>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</si>
  <si>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</si>
  <si>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</si>
  <si>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</si>
  <si>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</si>
  <si>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</si>
  <si>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</si>
  <si>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</si>
  <si>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</si>
  <si>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</si>
  <si>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</si>
  <si>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</si>
  <si>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</si>
  <si>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</si>
  <si>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1.МУП"Водоканал Неклиновского района "</t>
  </si>
  <si>
    <t>1.ОАО. "Донуголь"</t>
  </si>
  <si>
    <t>2.ОАО. "Донуголь"</t>
  </si>
  <si>
    <t>марка угля АМ</t>
  </si>
  <si>
    <t>марка угля АО</t>
  </si>
  <si>
    <t>1.ООО"Экотранс"</t>
  </si>
  <si>
    <t>Показатели на декабрь 2023 года</t>
  </si>
  <si>
    <t>Прогнозные показатели на2 полугодие 2024 года</t>
  </si>
  <si>
    <t>Индекс изменения платы граждан за коммунальные услуги во 2 полугодии 2024 г. к декабрю 2023 г.,%</t>
  </si>
  <si>
    <t xml:space="preserve">  ПРОГНОЗНЫЙ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2024 года (в среднем лето)</t>
  </si>
  <si>
    <t>Глава Администрации Федоровского сельского поселения ________________________  /Л.Н. Железняк/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</si>
</sst>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#,##0.00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selection activeCell="F89" sqref="F89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116" t="s">
        <v>72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21" t="s">
        <v>0</v>
      </c>
      <c r="B4" s="118" t="s">
        <v>41</v>
      </c>
      <c r="C4" s="127" t="s">
        <v>69</v>
      </c>
      <c r="D4" s="127"/>
      <c r="E4" s="127"/>
      <c r="F4" s="127"/>
      <c r="G4" s="127"/>
      <c r="H4" s="127"/>
      <c r="I4" s="127"/>
      <c r="J4" s="128"/>
      <c r="K4" s="121" t="s">
        <v>70</v>
      </c>
      <c r="L4" s="127"/>
      <c r="M4" s="127"/>
      <c r="N4" s="127"/>
      <c r="O4" s="127"/>
      <c r="P4" s="127"/>
      <c r="Q4" s="127"/>
      <c r="R4" s="128"/>
      <c r="S4" s="105" t="s">
        <v>71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22"/>
      <c r="B5" s="119"/>
      <c r="C5" s="111" t="s">
        <v>46</v>
      </c>
      <c r="D5" s="111" t="s">
        <v>47</v>
      </c>
      <c r="E5" s="111" t="s">
        <v>1</v>
      </c>
      <c r="F5" s="111"/>
      <c r="G5" s="111"/>
      <c r="H5" s="111"/>
      <c r="I5" s="111"/>
      <c r="J5" s="124" t="s">
        <v>3</v>
      </c>
      <c r="K5" s="129" t="s">
        <v>46</v>
      </c>
      <c r="L5" s="111" t="s">
        <v>4</v>
      </c>
      <c r="M5" s="111" t="s">
        <v>38</v>
      </c>
      <c r="N5" s="111"/>
      <c r="O5" s="111"/>
      <c r="P5" s="111"/>
      <c r="Q5" s="111"/>
      <c r="R5" s="124" t="s">
        <v>3</v>
      </c>
      <c r="S5" s="106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22"/>
      <c r="B6" s="119"/>
      <c r="C6" s="111"/>
      <c r="D6" s="111"/>
      <c r="E6" s="133" t="s">
        <v>39</v>
      </c>
      <c r="F6" s="108" t="s">
        <v>2</v>
      </c>
      <c r="G6" s="109"/>
      <c r="H6" s="109"/>
      <c r="I6" s="110"/>
      <c r="J6" s="125"/>
      <c r="K6" s="129"/>
      <c r="L6" s="111"/>
      <c r="M6" s="131" t="s">
        <v>39</v>
      </c>
      <c r="N6" s="36"/>
      <c r="O6" s="111" t="s">
        <v>2</v>
      </c>
      <c r="P6" s="111"/>
      <c r="Q6" s="111"/>
      <c r="R6" s="125"/>
      <c r="S6" s="106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23"/>
      <c r="B7" s="120"/>
      <c r="C7" s="112"/>
      <c r="D7" s="112"/>
      <c r="E7" s="134"/>
      <c r="F7" s="50" t="s">
        <v>43</v>
      </c>
      <c r="G7" s="49" t="s">
        <v>49</v>
      </c>
      <c r="H7" s="49" t="s">
        <v>42</v>
      </c>
      <c r="I7" s="49" t="s">
        <v>48</v>
      </c>
      <c r="J7" s="126"/>
      <c r="K7" s="130"/>
      <c r="L7" s="112"/>
      <c r="M7" s="132"/>
      <c r="N7" s="50" t="s">
        <v>50</v>
      </c>
      <c r="O7" s="49" t="s">
        <v>49</v>
      </c>
      <c r="P7" s="49" t="s">
        <v>42</v>
      </c>
      <c r="Q7" s="49" t="s">
        <v>48</v>
      </c>
      <c r="R7" s="126"/>
      <c r="S7" s="107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13" t="s">
        <v>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96" t="s">
        <v>63</v>
      </c>
      <c r="B10" s="48" t="s">
        <v>23</v>
      </c>
      <c r="C10" s="5">
        <v>87.12</v>
      </c>
      <c r="D10" s="5">
        <v>79.36</v>
      </c>
      <c r="E10" s="83">
        <f>101.16077/12</f>
        <v>8.430064166666666</v>
      </c>
      <c r="F10" s="37"/>
      <c r="G10" s="30" t="s">
        <v>8</v>
      </c>
      <c r="H10" s="30"/>
      <c r="I10" s="30" t="s">
        <v>8</v>
      </c>
      <c r="J10" s="6">
        <f t="shared" ref="J10:J16" si="0">D10*E10</f>
        <v>669.00989226666661</v>
      </c>
      <c r="K10" s="7">
        <v>104.51</v>
      </c>
      <c r="L10" s="89">
        <v>86.89</v>
      </c>
      <c r="M10" s="62">
        <f>E10</f>
        <v>8.430064166666666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732.48827544166659</v>
      </c>
      <c r="S10" s="8">
        <f>R10/J10</f>
        <v>1.0948840725806452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01"/>
      <c r="B11" s="48" t="s">
        <v>24</v>
      </c>
      <c r="C11" s="90">
        <v>87.12</v>
      </c>
      <c r="D11" s="90">
        <v>79.36</v>
      </c>
      <c r="E11" s="83">
        <f>M11</f>
        <v>9.2549999999999993E-2</v>
      </c>
      <c r="F11" s="85">
        <f>ROUND(G11*H11,5)</f>
        <v>6.1719600000000003</v>
      </c>
      <c r="G11" s="24">
        <v>7.46</v>
      </c>
      <c r="H11" s="37">
        <v>0.82733999999999996</v>
      </c>
      <c r="I11" s="24">
        <v>15</v>
      </c>
      <c r="J11" s="6">
        <f t="shared" si="0"/>
        <v>7.3447679999999993</v>
      </c>
      <c r="K11" s="95">
        <v>104.51</v>
      </c>
      <c r="L11" s="95">
        <v>86.89</v>
      </c>
      <c r="M11" s="62">
        <f>N11*Q11/1000</f>
        <v>9.2549999999999993E-2</v>
      </c>
      <c r="N11" s="36">
        <f>ROUND(O11*P11,2)</f>
        <v>6.17</v>
      </c>
      <c r="O11" s="24">
        <f>G11</f>
        <v>7.46</v>
      </c>
      <c r="P11" s="27">
        <v>0.82733999999999996</v>
      </c>
      <c r="Q11" s="24">
        <f>I11</f>
        <v>15</v>
      </c>
      <c r="R11" s="6">
        <f t="shared" si="1"/>
        <v>8.0416694999999994</v>
      </c>
      <c r="S11" s="8">
        <f t="shared" ref="S11:S18" si="2">R11/J11</f>
        <v>1.0948840725806452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97"/>
      <c r="B12" s="48" t="s">
        <v>24</v>
      </c>
      <c r="C12" s="84"/>
      <c r="D12" s="84"/>
      <c r="E12" s="83">
        <f>F12*I12*12/1000</f>
        <v>0</v>
      </c>
      <c r="F12" s="82">
        <f>ROUND(G12*H12,5)</f>
        <v>0</v>
      </c>
      <c r="G12" s="5"/>
      <c r="H12" s="37"/>
      <c r="I12" s="5"/>
      <c r="J12" s="6">
        <f t="shared" si="0"/>
        <v>0</v>
      </c>
      <c r="K12" s="88">
        <f t="shared" ref="K12" si="3">C12</f>
        <v>0</v>
      </c>
      <c r="L12" s="87">
        <f t="shared" ref="L12" si="4">D12</f>
        <v>0</v>
      </c>
      <c r="M12" s="62">
        <f>N12*Q12*12/1000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32</v>
      </c>
      <c r="B13" s="39"/>
      <c r="C13" s="40"/>
      <c r="D13" s="40"/>
      <c r="E13" s="55">
        <f>E10+E11+E12</f>
        <v>8.5226141666666653</v>
      </c>
      <c r="F13" s="40"/>
      <c r="G13" s="40"/>
      <c r="H13" s="40"/>
      <c r="I13" s="40"/>
      <c r="J13" s="41">
        <f>SUM(J10:J12)</f>
        <v>676.35466026666666</v>
      </c>
      <c r="K13" s="35"/>
      <c r="L13" s="40"/>
      <c r="M13" s="63">
        <f>M10+M11+M12</f>
        <v>8.5226141666666653</v>
      </c>
      <c r="N13" s="40"/>
      <c r="O13" s="40"/>
      <c r="P13" s="40"/>
      <c r="Q13" s="40"/>
      <c r="R13" s="41">
        <f>SUM(R10:R12)</f>
        <v>740.5299449416666</v>
      </c>
      <c r="S13" s="8">
        <f t="shared" si="2"/>
        <v>1.094884072580645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96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01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97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33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8.5226141666666653</v>
      </c>
      <c r="F18" s="26"/>
      <c r="G18" s="13"/>
      <c r="H18" s="13"/>
      <c r="I18" s="13"/>
      <c r="J18" s="14">
        <f>J13+J17</f>
        <v>676.35466026666666</v>
      </c>
      <c r="K18" s="15"/>
      <c r="L18" s="13"/>
      <c r="M18" s="64">
        <f>M13+M17</f>
        <v>8.5226141666666653</v>
      </c>
      <c r="N18" s="26"/>
      <c r="O18" s="13"/>
      <c r="P18" s="13"/>
      <c r="Q18" s="13"/>
      <c r="R18" s="14">
        <f>R13+R17</f>
        <v>740.5299449416666</v>
      </c>
      <c r="S18" s="16">
        <f t="shared" si="2"/>
        <v>1.094884072580645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98" t="s">
        <v>10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96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5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6">L20*M20</f>
        <v>0</v>
      </c>
      <c r="S20" s="8" t="e">
        <f t="shared" ref="S20:S28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01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6"/>
        <v>0</v>
      </c>
      <c r="S21" s="8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97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5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6"/>
        <v>0</v>
      </c>
      <c r="S22" s="8" t="e">
        <f t="shared" si="7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32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7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96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5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6"/>
        <v>0</v>
      </c>
      <c r="S24" s="8" t="e">
        <f t="shared" si="7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01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5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6"/>
        <v>0</v>
      </c>
      <c r="S25" s="8" t="e">
        <f t="shared" si="7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97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5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6"/>
        <v>0</v>
      </c>
      <c r="S26" s="8" t="e">
        <f t="shared" si="7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33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7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7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98" t="s">
        <v>12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101" t="s">
        <v>6</v>
      </c>
      <c r="B30" s="48" t="s">
        <v>34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8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97"/>
      <c r="B31" s="48" t="s">
        <v>35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8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101" t="s">
        <v>7</v>
      </c>
      <c r="B32" s="48" t="s">
        <v>34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8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97"/>
      <c r="B33" s="48" t="s">
        <v>35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8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36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8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37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8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8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98" t="s">
        <v>14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100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96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9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97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9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32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9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96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9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97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9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33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9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9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98" t="s">
        <v>16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96" t="s">
        <v>61</v>
      </c>
      <c r="B46" s="48" t="s">
        <v>17</v>
      </c>
      <c r="C46" s="5">
        <v>3.36</v>
      </c>
      <c r="D46" s="5">
        <f>C46</f>
        <v>3.36</v>
      </c>
      <c r="E46" s="54">
        <f>2498.556/12</f>
        <v>208.21299999999999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10">D46*E46</f>
        <v>699.5956799999999</v>
      </c>
      <c r="K46" s="7">
        <v>3.67</v>
      </c>
      <c r="L46" s="5">
        <f>K46</f>
        <v>3.67</v>
      </c>
      <c r="M46" s="62">
        <f>E46</f>
        <v>208.21299999999999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11">L46*M46</f>
        <v>764.14170999999999</v>
      </c>
      <c r="S46" s="8">
        <f t="shared" ref="S46:S52" si="12">R46/J46</f>
        <v>1.0922619047619049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101"/>
      <c r="B47" s="48" t="s">
        <v>18</v>
      </c>
      <c r="C47" s="5">
        <v>3.88</v>
      </c>
      <c r="D47" s="5">
        <f t="shared" ref="D47:D51" si="13">C47</f>
        <v>3.88</v>
      </c>
      <c r="E47" s="54">
        <f>5.264/12</f>
        <v>0.4386666666666667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10"/>
        <v>1.7020266666666668</v>
      </c>
      <c r="K47" s="7">
        <v>4.22</v>
      </c>
      <c r="L47" s="5">
        <f t="shared" ref="L47:L51" si="14">K47</f>
        <v>4.22</v>
      </c>
      <c r="M47" s="62">
        <f t="shared" ref="M47:M51" si="15">E47</f>
        <v>0.4386666666666667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11"/>
        <v>1.8511733333333333</v>
      </c>
      <c r="S47" s="8">
        <f t="shared" si="12"/>
        <v>1.0876288659793814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101"/>
      <c r="B48" s="48" t="s">
        <v>19</v>
      </c>
      <c r="C48" s="5">
        <v>2.02</v>
      </c>
      <c r="D48" s="5">
        <f t="shared" si="13"/>
        <v>2.02</v>
      </c>
      <c r="E48" s="54">
        <f>3.4/12</f>
        <v>0.28333333333333333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10"/>
        <v>0.57233333333333336</v>
      </c>
      <c r="K48" s="7">
        <v>2.21</v>
      </c>
      <c r="L48" s="5">
        <f t="shared" si="14"/>
        <v>2.21</v>
      </c>
      <c r="M48" s="62">
        <f t="shared" si="15"/>
        <v>0.28333333333333333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11"/>
        <v>0.62616666666666665</v>
      </c>
      <c r="S48" s="8">
        <f t="shared" si="12"/>
        <v>1.0940594059405939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101"/>
      <c r="B49" s="48" t="s">
        <v>20</v>
      </c>
      <c r="C49" s="5"/>
      <c r="D49" s="5">
        <f t="shared" si="13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10"/>
        <v>0</v>
      </c>
      <c r="K49" s="7"/>
      <c r="L49" s="5">
        <f t="shared" si="14"/>
        <v>0</v>
      </c>
      <c r="M49" s="62">
        <f t="shared" si="15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11"/>
        <v>0</v>
      </c>
      <c r="S49" s="8" t="e">
        <f t="shared" si="12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101"/>
      <c r="B50" s="48" t="s">
        <v>21</v>
      </c>
      <c r="C50" s="5"/>
      <c r="D50" s="5">
        <f t="shared" si="13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10"/>
        <v>0</v>
      </c>
      <c r="K50" s="7"/>
      <c r="L50" s="5">
        <f t="shared" si="14"/>
        <v>0</v>
      </c>
      <c r="M50" s="62">
        <f t="shared" si="15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11"/>
        <v>0</v>
      </c>
      <c r="S50" s="8" t="e">
        <f t="shared" si="12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97"/>
      <c r="B51" s="48" t="s">
        <v>22</v>
      </c>
      <c r="C51" s="5"/>
      <c r="D51" s="5">
        <f t="shared" si="13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10"/>
        <v>0</v>
      </c>
      <c r="K51" s="7"/>
      <c r="L51" s="5">
        <f t="shared" si="14"/>
        <v>0</v>
      </c>
      <c r="M51" s="62">
        <f t="shared" si="15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11"/>
        <v>0</v>
      </c>
      <c r="S51" s="8" t="e">
        <f t="shared" si="12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208.935</v>
      </c>
      <c r="F52" s="26"/>
      <c r="G52" s="13"/>
      <c r="H52" s="13"/>
      <c r="I52" s="13"/>
      <c r="J52" s="14">
        <f>SUM(J46:J51)</f>
        <v>701.8700399999999</v>
      </c>
      <c r="K52" s="15"/>
      <c r="L52" s="13"/>
      <c r="M52" s="64">
        <f>SUM(M46:M51)</f>
        <v>208.935</v>
      </c>
      <c r="N52" s="26"/>
      <c r="O52" s="13"/>
      <c r="P52" s="13"/>
      <c r="Q52" s="13"/>
      <c r="R52" s="14">
        <f>SUM(R46:R51)</f>
        <v>766.61905000000002</v>
      </c>
      <c r="S52" s="16">
        <f t="shared" si="12"/>
        <v>1.0922521354523127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98" t="s">
        <v>26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00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96" t="s">
        <v>62</v>
      </c>
      <c r="B54" s="102" t="s">
        <v>54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4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01"/>
      <c r="B55" s="48" t="s">
        <v>55</v>
      </c>
      <c r="C55" s="78">
        <v>7.5</v>
      </c>
      <c r="D55" s="78">
        <f t="shared" ref="D55:D57" si="16">C55</f>
        <v>7.5</v>
      </c>
      <c r="E55" s="79">
        <f>8.379/12</f>
        <v>0.69824999999999993</v>
      </c>
      <c r="F55" s="78"/>
      <c r="G55" s="30" t="s">
        <v>8</v>
      </c>
      <c r="H55" s="30"/>
      <c r="I55" s="30" t="s">
        <v>8</v>
      </c>
      <c r="J55" s="6">
        <f t="shared" ref="J55:J57" si="17">D55*E55</f>
        <v>5.2368749999999995</v>
      </c>
      <c r="K55" s="80">
        <v>8.3000000000000007</v>
      </c>
      <c r="L55" s="78">
        <f>K55</f>
        <v>8.3000000000000007</v>
      </c>
      <c r="M55" s="81">
        <f>E55</f>
        <v>0.69824999999999993</v>
      </c>
      <c r="N55" s="78"/>
      <c r="O55" s="30" t="s">
        <v>8</v>
      </c>
      <c r="P55" s="78" t="s">
        <v>8</v>
      </c>
      <c r="Q55" s="30" t="s">
        <v>8</v>
      </c>
      <c r="R55" s="6">
        <f>L55*M55</f>
        <v>5.7954749999999997</v>
      </c>
      <c r="S55" s="8">
        <f>R55/J55</f>
        <v>1.1066666666666667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101"/>
      <c r="B56" s="48" t="s">
        <v>56</v>
      </c>
      <c r="C56" s="78">
        <v>7.46</v>
      </c>
      <c r="D56" s="78">
        <f t="shared" si="16"/>
        <v>7.46</v>
      </c>
      <c r="E56" s="79">
        <f>1.494/12</f>
        <v>0.1245</v>
      </c>
      <c r="F56" s="78"/>
      <c r="G56" s="30" t="s">
        <v>8</v>
      </c>
      <c r="H56" s="30"/>
      <c r="I56" s="30" t="s">
        <v>8</v>
      </c>
      <c r="J56" s="6">
        <f t="shared" si="17"/>
        <v>0.92876999999999998</v>
      </c>
      <c r="K56" s="80">
        <v>8.19</v>
      </c>
      <c r="L56" s="78">
        <f>K56</f>
        <v>8.19</v>
      </c>
      <c r="M56" s="81">
        <f>E56</f>
        <v>0.1245</v>
      </c>
      <c r="N56" s="78"/>
      <c r="O56" s="30" t="s">
        <v>8</v>
      </c>
      <c r="P56" s="78" t="s">
        <v>8</v>
      </c>
      <c r="Q56" s="30" t="s">
        <v>8</v>
      </c>
      <c r="R56" s="6">
        <f>L56*M56</f>
        <v>1.019655</v>
      </c>
      <c r="S56" s="8">
        <f>R56/J56</f>
        <v>1.0978552278820375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101"/>
      <c r="B57" s="48" t="s">
        <v>57</v>
      </c>
      <c r="C57" s="78">
        <v>7.3280000000000003</v>
      </c>
      <c r="D57" s="78">
        <f t="shared" si="16"/>
        <v>7.3280000000000003</v>
      </c>
      <c r="E57" s="79">
        <f>2827.727/12</f>
        <v>235.64391666666666</v>
      </c>
      <c r="F57" s="78"/>
      <c r="G57" s="30" t="s">
        <v>8</v>
      </c>
      <c r="H57" s="30"/>
      <c r="I57" s="30" t="s">
        <v>8</v>
      </c>
      <c r="J57" s="6">
        <f t="shared" si="17"/>
        <v>1726.7986213333334</v>
      </c>
      <c r="K57" s="80">
        <v>8.0500000000000007</v>
      </c>
      <c r="L57" s="78">
        <f>K57</f>
        <v>8.0500000000000007</v>
      </c>
      <c r="M57" s="81">
        <f>E57</f>
        <v>235.64391666666666</v>
      </c>
      <c r="N57" s="78"/>
      <c r="O57" s="30" t="s">
        <v>8</v>
      </c>
      <c r="P57" s="78" t="s">
        <v>8</v>
      </c>
      <c r="Q57" s="30" t="s">
        <v>8</v>
      </c>
      <c r="R57" s="6">
        <f>L57*M57</f>
        <v>1896.9335291666666</v>
      </c>
      <c r="S57" s="8">
        <f>R57/J57</f>
        <v>1.0985262008733625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101"/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4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101"/>
      <c r="B59" s="48" t="s">
        <v>58</v>
      </c>
      <c r="C59" s="5">
        <v>7.5</v>
      </c>
      <c r="D59" s="5">
        <f>C59</f>
        <v>7.5</v>
      </c>
      <c r="E59" s="54">
        <f>G59*I59/1000</f>
        <v>0.27300000000000002</v>
      </c>
      <c r="F59" s="78" t="s">
        <v>8</v>
      </c>
      <c r="G59" s="5">
        <v>13</v>
      </c>
      <c r="H59" s="78" t="s">
        <v>8</v>
      </c>
      <c r="I59" s="5">
        <v>21</v>
      </c>
      <c r="J59" s="6">
        <f>D59*E59</f>
        <v>2.0475000000000003</v>
      </c>
      <c r="K59" s="7">
        <v>8.3000000000000007</v>
      </c>
      <c r="L59" s="5">
        <f>K59</f>
        <v>8.3000000000000007</v>
      </c>
      <c r="M59" s="62">
        <f>O59*Q59/1000</f>
        <v>0.27300000000000002</v>
      </c>
      <c r="N59" s="78" t="s">
        <v>8</v>
      </c>
      <c r="O59" s="24">
        <f t="shared" ref="O59:O61" si="18">G59</f>
        <v>13</v>
      </c>
      <c r="P59" s="27" t="s">
        <v>8</v>
      </c>
      <c r="Q59" s="25">
        <f>I59</f>
        <v>21</v>
      </c>
      <c r="R59" s="6">
        <f>L59*M59</f>
        <v>2.2659000000000002</v>
      </c>
      <c r="S59" s="8">
        <f>R59/J59</f>
        <v>1.1066666666666667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101"/>
      <c r="B60" s="48" t="s">
        <v>59</v>
      </c>
      <c r="C60" s="5">
        <v>7.46</v>
      </c>
      <c r="D60" s="5">
        <f>C60</f>
        <v>7.46</v>
      </c>
      <c r="E60" s="54">
        <f>M60</f>
        <v>3.304E-2</v>
      </c>
      <c r="F60" s="78" t="s">
        <v>8</v>
      </c>
      <c r="G60" s="5">
        <v>16.52</v>
      </c>
      <c r="H60" s="78" t="s">
        <v>8</v>
      </c>
      <c r="I60" s="5">
        <v>2</v>
      </c>
      <c r="J60" s="6">
        <f>D60*E60</f>
        <v>0.24647839999999999</v>
      </c>
      <c r="K60" s="7">
        <v>8.19</v>
      </c>
      <c r="L60" s="5">
        <f>K60</f>
        <v>8.19</v>
      </c>
      <c r="M60" s="62">
        <f>O60*Q60/1000</f>
        <v>3.304E-2</v>
      </c>
      <c r="N60" s="78" t="s">
        <v>8</v>
      </c>
      <c r="O60" s="24">
        <f t="shared" si="18"/>
        <v>16.52</v>
      </c>
      <c r="P60" s="27" t="s">
        <v>8</v>
      </c>
      <c r="Q60" s="25">
        <f>I60</f>
        <v>2</v>
      </c>
      <c r="R60" s="6">
        <f>L60*M60</f>
        <v>0.27059759999999999</v>
      </c>
      <c r="S60" s="8">
        <f>R60/J60</f>
        <v>1.0978552278820375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97"/>
      <c r="B61" s="48" t="s">
        <v>60</v>
      </c>
      <c r="C61" s="5"/>
      <c r="D61" s="5">
        <f>C61</f>
        <v>0</v>
      </c>
      <c r="E61" s="54">
        <f>M61</f>
        <v>13.492340800000001</v>
      </c>
      <c r="F61" s="78" t="s">
        <v>8</v>
      </c>
      <c r="G61" s="5">
        <v>12.4</v>
      </c>
      <c r="H61" s="78" t="s">
        <v>8</v>
      </c>
      <c r="I61" s="5">
        <v>1088.0920000000001</v>
      </c>
      <c r="J61" s="6">
        <f>D61*E61</f>
        <v>0</v>
      </c>
      <c r="K61" s="7"/>
      <c r="L61" s="5">
        <f>K61</f>
        <v>0</v>
      </c>
      <c r="M61" s="62">
        <f>O61*Q61/1000</f>
        <v>13.492340800000001</v>
      </c>
      <c r="N61" s="78" t="s">
        <v>8</v>
      </c>
      <c r="O61" s="24">
        <f t="shared" si="18"/>
        <v>12.4</v>
      </c>
      <c r="P61" s="27" t="s">
        <v>8</v>
      </c>
      <c r="Q61" s="25">
        <f>I61</f>
        <v>1088.0920000000001</v>
      </c>
      <c r="R61" s="6">
        <f>L61*M61</f>
        <v>0</v>
      </c>
      <c r="S61" s="8" t="e">
        <f>R61/J61</f>
        <v>#DIV/0!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250.26504746666666</v>
      </c>
      <c r="F62" s="26"/>
      <c r="G62" s="13"/>
      <c r="H62" s="13"/>
      <c r="I62" s="13"/>
      <c r="J62" s="26">
        <f>J55+J56+J57+J59+J60+J61</f>
        <v>1735.2582447333332</v>
      </c>
      <c r="K62" s="15"/>
      <c r="L62" s="13"/>
      <c r="M62" s="56">
        <f>M55+M56+M57+M59+M60+M61</f>
        <v>250.26504746666666</v>
      </c>
      <c r="N62" s="26"/>
      <c r="O62" s="13"/>
      <c r="P62" s="13"/>
      <c r="Q62" s="13"/>
      <c r="R62" s="26">
        <f>R55+R56+R57+R59+R60+R61</f>
        <v>1906.2851567666667</v>
      </c>
      <c r="S62" s="16">
        <f>R62/J62</f>
        <v>1.0985599189932771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98" t="s">
        <v>51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00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98" t="s">
        <v>52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100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64</v>
      </c>
      <c r="B68" s="48" t="s">
        <v>66</v>
      </c>
      <c r="C68" s="5"/>
      <c r="D68" s="5">
        <f>C68</f>
        <v>0</v>
      </c>
      <c r="E68" s="54">
        <f>0.85/7</f>
        <v>0.12142857142857143</v>
      </c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0</v>
      </c>
      <c r="K68" s="5"/>
      <c r="L68" s="5">
        <f>K68</f>
        <v>0</v>
      </c>
      <c r="M68" s="62">
        <f>E68</f>
        <v>0.12142857142857143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0</v>
      </c>
      <c r="S68" s="8" t="e">
        <f>R68/J68</f>
        <v>#DIV/0!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65</v>
      </c>
      <c r="B69" s="48" t="s">
        <v>67</v>
      </c>
      <c r="C69" s="5"/>
      <c r="D69" s="5">
        <f>C69</f>
        <v>0</v>
      </c>
      <c r="E69" s="54">
        <f>0.2942/7</f>
        <v>4.2028571428571429E-2</v>
      </c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0</v>
      </c>
      <c r="K69" s="86"/>
      <c r="L69" s="5">
        <f>K69</f>
        <v>0</v>
      </c>
      <c r="M69" s="62">
        <f>E69</f>
        <v>4.2028571428571429E-2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0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0.16345714285714286</v>
      </c>
      <c r="F70" s="26"/>
      <c r="G70" s="13"/>
      <c r="H70" s="13"/>
      <c r="I70" s="13"/>
      <c r="J70" s="14">
        <f>SUM(J68:J69)</f>
        <v>0</v>
      </c>
      <c r="K70" s="15"/>
      <c r="L70" s="13"/>
      <c r="M70" s="64">
        <f>SUM(M68:M69)</f>
        <v>0.16345714285714286</v>
      </c>
      <c r="N70" s="26"/>
      <c r="O70" s="13"/>
      <c r="P70" s="13"/>
      <c r="Q70" s="13"/>
      <c r="R70" s="14">
        <f>SUM(R68:R69)</f>
        <v>0</v>
      </c>
      <c r="S70" s="16" t="e">
        <f>R70/J70</f>
        <v>#DIV/0!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98" t="s">
        <v>53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100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96" t="s">
        <v>68</v>
      </c>
      <c r="B72" s="48" t="s">
        <v>44</v>
      </c>
      <c r="C72" s="92"/>
      <c r="D72" s="92"/>
      <c r="E72" s="94">
        <f>G72*I72/1000</f>
        <v>0</v>
      </c>
      <c r="F72" s="30" t="s">
        <v>8</v>
      </c>
      <c r="G72" s="92"/>
      <c r="H72" s="30" t="s">
        <v>8</v>
      </c>
      <c r="I72" s="92"/>
      <c r="J72" s="6">
        <f>D72*E72</f>
        <v>0</v>
      </c>
      <c r="K72" s="91"/>
      <c r="L72" s="92"/>
      <c r="M72" s="93">
        <f>O72*Q72/1000</f>
        <v>0</v>
      </c>
      <c r="N72" s="30" t="s">
        <v>8</v>
      </c>
      <c r="O72" s="92"/>
      <c r="P72" s="30" t="s">
        <v>8</v>
      </c>
      <c r="Q72" s="92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97"/>
      <c r="B73" s="48" t="s">
        <v>45</v>
      </c>
      <c r="C73" s="92">
        <v>774.74</v>
      </c>
      <c r="D73" s="92">
        <v>650.37</v>
      </c>
      <c r="E73" s="94">
        <f>G73*I73/1000</f>
        <v>0.60387999999999997</v>
      </c>
      <c r="F73" s="30" t="s">
        <v>8</v>
      </c>
      <c r="G73" s="92">
        <f>1.86/12</f>
        <v>0.155</v>
      </c>
      <c r="H73" s="30" t="s">
        <v>8</v>
      </c>
      <c r="I73" s="92">
        <v>3896</v>
      </c>
      <c r="J73" s="6">
        <f>D73*E73</f>
        <v>392.74543560000001</v>
      </c>
      <c r="K73" s="91">
        <v>991.29</v>
      </c>
      <c r="L73" s="92">
        <v>663.63</v>
      </c>
      <c r="M73" s="93">
        <f>O73*Q73/1000</f>
        <v>0.64803466666666665</v>
      </c>
      <c r="N73" s="30" t="s">
        <v>8</v>
      </c>
      <c r="O73" s="92">
        <f>1.996/12</f>
        <v>0.16633333333333333</v>
      </c>
      <c r="P73" s="30" t="s">
        <v>8</v>
      </c>
      <c r="Q73" s="92">
        <f>I73</f>
        <v>3896</v>
      </c>
      <c r="R73" s="6">
        <f>L73*M73</f>
        <v>430.05524584</v>
      </c>
      <c r="S73" s="8">
        <f>R73/J73</f>
        <v>1.0949974381828309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0.60387999999999997</v>
      </c>
      <c r="F74" s="26"/>
      <c r="G74" s="13"/>
      <c r="H74" s="13"/>
      <c r="I74" s="13">
        <f>I72+I73</f>
        <v>3896</v>
      </c>
      <c r="J74" s="14">
        <f>SUM(J72:J73)</f>
        <v>392.74543560000001</v>
      </c>
      <c r="K74" s="15"/>
      <c r="L74" s="13"/>
      <c r="M74" s="64">
        <f>SUM(M72:M73)</f>
        <v>0.64803466666666665</v>
      </c>
      <c r="N74" s="26"/>
      <c r="O74" s="13"/>
      <c r="P74" s="13"/>
      <c r="Q74" s="13"/>
      <c r="R74" s="14">
        <f>SUM(R72:R73)</f>
        <v>430.05524584</v>
      </c>
      <c r="S74" s="16">
        <f>R74/J74</f>
        <v>1.0949974381828309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3506.2283805999996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3843.4893975483328</v>
      </c>
      <c r="S75" s="22">
        <f>R75/J75</f>
        <v>1.09618911843119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73</v>
      </c>
    </row>
    <row r="80" spans="1:29" x14ac:dyDescent="0.25">
      <c r="E80" s="60" t="s">
        <v>31</v>
      </c>
    </row>
  </sheetData>
  <autoFilter ref="A8:AC75"/>
  <mergeCells count="41"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</mergeCells>
  <pageMargins left="0.51181102362204722" right="0.31496062992125984" top="0.55118110236220474" bottom="0.35433070866141736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Админ</cp:lastModifiedBy>
  <cp:lastPrinted>2023-12-15T10:16:12Z</cp:lastPrinted>
  <dcterms:created xsi:type="dcterms:W3CDTF">2019-09-09T08:13:25Z</dcterms:created>
  <dcterms:modified xsi:type="dcterms:W3CDTF">2023-12-15T10:16:18Z</dcterms:modified>
</cp:coreProperties>
</file>