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РАБОТА !!2022 прогнозы\!!!!НОВЫЕ.СРЕД Ростов 2022 МЕСЯЦ(зимние )\"/>
    </mc:Choice>
  </mc:AlternateContent>
  <bookViews>
    <workbookView xWindow="120" yWindow="150" windowWidth="11475" windowHeight="10935"/>
  </bookViews>
  <sheets>
    <sheet name="СРЕД год" sheetId="1" r:id="rId1"/>
  </sheets>
  <definedNames>
    <definedName name="_xlnm._FilterDatabase" localSheetId="0" hidden="1">'СРЕД год'!$A$8:$AC$80</definedName>
    <definedName name="_xlnm.Print_Area" localSheetId="0">'СРЕД год'!$A$2:$S$80</definedName>
  </definedNames>
  <calcPr calcId="162913"/>
</workbook>
</file>

<file path=xl/calcChain.xml><?xml version="1.0" encoding="utf-8"?>
<calcChain xmlns="http://schemas.openxmlformats.org/spreadsheetml/2006/main">
  <c r="S69" i="1" l="1"/>
  <c r="E69" i="1"/>
  <c r="E68" i="1"/>
  <c r="E61" i="1"/>
  <c r="M61" i="1"/>
  <c r="D61" i="1"/>
  <c r="M73" i="1" l="1"/>
  <c r="M60" i="1"/>
  <c r="M59" i="1"/>
  <c r="M12" i="1"/>
  <c r="M11" i="1"/>
  <c r="E60" i="1" l="1"/>
  <c r="E59" i="1"/>
  <c r="E57" i="1"/>
  <c r="E56" i="1"/>
  <c r="E55" i="1"/>
  <c r="E48" i="1"/>
  <c r="E47" i="1"/>
  <c r="E46" i="1"/>
  <c r="E10" i="1"/>
  <c r="F12" i="1" l="1"/>
  <c r="E12" i="1" s="1"/>
  <c r="F11" i="1"/>
  <c r="E11" i="1" s="1"/>
  <c r="I74" i="1" l="1"/>
  <c r="F73" i="1" l="1"/>
  <c r="E73" i="1" s="1"/>
  <c r="F72" i="1"/>
  <c r="E72" i="1" s="1"/>
  <c r="O73" i="1"/>
  <c r="N73" i="1" s="1"/>
  <c r="O72" i="1"/>
  <c r="N72" i="1" s="1"/>
  <c r="M57" i="1"/>
  <c r="L57" i="1"/>
  <c r="M56" i="1"/>
  <c r="R56" i="1" s="1"/>
  <c r="L56" i="1"/>
  <c r="M55" i="1"/>
  <c r="L55" i="1"/>
  <c r="D57" i="1"/>
  <c r="J57" i="1" s="1"/>
  <c r="D56" i="1"/>
  <c r="J56" i="1" s="1"/>
  <c r="D55" i="1"/>
  <c r="J55" i="1" s="1"/>
  <c r="E42" i="1"/>
  <c r="E39" i="1"/>
  <c r="O42" i="1"/>
  <c r="N42" i="1" s="1"/>
  <c r="O39" i="1"/>
  <c r="N39" i="1" s="1"/>
  <c r="M34" i="1"/>
  <c r="E34" i="1"/>
  <c r="O33" i="1"/>
  <c r="O31" i="1"/>
  <c r="E31" i="1"/>
  <c r="E26" i="1"/>
  <c r="F26" i="1"/>
  <c r="F25" i="1"/>
  <c r="E25" i="1" s="1"/>
  <c r="F22" i="1"/>
  <c r="E22" i="1" s="1"/>
  <c r="F21" i="1"/>
  <c r="E21" i="1" s="1"/>
  <c r="J21" i="1" s="1"/>
  <c r="O26" i="1"/>
  <c r="N26" i="1" s="1"/>
  <c r="O25" i="1"/>
  <c r="O22" i="1"/>
  <c r="O21" i="1"/>
  <c r="N21" i="1" s="1"/>
  <c r="O16" i="1"/>
  <c r="O15" i="1"/>
  <c r="O12" i="1"/>
  <c r="O11" i="1"/>
  <c r="E62" i="1" l="1"/>
  <c r="R57" i="1"/>
  <c r="S57" i="1" s="1"/>
  <c r="S56" i="1"/>
  <c r="R55" i="1"/>
  <c r="S55" i="1" s="1"/>
  <c r="O65" i="1"/>
  <c r="N65" i="1" s="1"/>
  <c r="O64" i="1"/>
  <c r="N64" i="1" s="1"/>
  <c r="Q65" i="1"/>
  <c r="Q64" i="1"/>
  <c r="E64" i="1"/>
  <c r="E65" i="1"/>
  <c r="M65" i="1" l="1"/>
  <c r="M64" i="1"/>
  <c r="E66" i="1"/>
  <c r="L65" i="1"/>
  <c r="D65" i="1"/>
  <c r="J65" i="1" s="1"/>
  <c r="L64" i="1"/>
  <c r="D64" i="1"/>
  <c r="J64" i="1" s="1"/>
  <c r="N11" i="1"/>
  <c r="M10" i="1"/>
  <c r="F16" i="1"/>
  <c r="E16" i="1" s="1"/>
  <c r="F15" i="1"/>
  <c r="E15" i="1" s="1"/>
  <c r="R65" i="1" l="1"/>
  <c r="S65" i="1" s="1"/>
  <c r="E13" i="1"/>
  <c r="R64" i="1"/>
  <c r="S64" i="1" s="1"/>
  <c r="M66" i="1"/>
  <c r="J66" i="1"/>
  <c r="Q60" i="1"/>
  <c r="Q61" i="1"/>
  <c r="M46" i="1"/>
  <c r="N25" i="1"/>
  <c r="N22" i="1"/>
  <c r="N16" i="1"/>
  <c r="N15" i="1"/>
  <c r="N12" i="1"/>
  <c r="M33" i="1"/>
  <c r="M24" i="1"/>
  <c r="M20" i="1"/>
  <c r="M14" i="1"/>
  <c r="R66" i="1" l="1"/>
  <c r="S66" i="1"/>
  <c r="R38" i="1"/>
  <c r="J38" i="1"/>
  <c r="J73" i="1" l="1"/>
  <c r="J72" i="1"/>
  <c r="E70" i="1"/>
  <c r="Q42" i="1"/>
  <c r="M42" i="1" s="1"/>
  <c r="R41" i="1"/>
  <c r="E40" i="1"/>
  <c r="R32" i="1"/>
  <c r="R33" i="1"/>
  <c r="M31" i="1"/>
  <c r="R31" i="1" s="1"/>
  <c r="R30" i="1"/>
  <c r="E33" i="1"/>
  <c r="J32" i="1"/>
  <c r="R24" i="1"/>
  <c r="J24" i="1"/>
  <c r="J20" i="1"/>
  <c r="J26" i="1"/>
  <c r="J25" i="1"/>
  <c r="R14" i="1"/>
  <c r="J16" i="1"/>
  <c r="J11" i="1"/>
  <c r="J30" i="1"/>
  <c r="J33" i="1" l="1"/>
  <c r="E35" i="1"/>
  <c r="R34" i="1"/>
  <c r="J34" i="1"/>
  <c r="R42" i="1"/>
  <c r="R43" i="1" s="1"/>
  <c r="R35" i="1"/>
  <c r="J39" i="1"/>
  <c r="J40" i="1" s="1"/>
  <c r="E17" i="1"/>
  <c r="E18" i="1" s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O60" i="1"/>
  <c r="O59" i="1"/>
  <c r="M47" i="1"/>
  <c r="M48" i="1"/>
  <c r="M49" i="1"/>
  <c r="M50" i="1"/>
  <c r="M51" i="1"/>
  <c r="R36" i="1" l="1"/>
  <c r="J36" i="1"/>
  <c r="M43" i="1"/>
  <c r="E44" i="1"/>
  <c r="R10" i="1"/>
  <c r="M70" i="1"/>
  <c r="Q73" i="1"/>
  <c r="Q72" i="1"/>
  <c r="M72" i="1" s="1"/>
  <c r="Q59" i="1"/>
  <c r="Q39" i="1"/>
  <c r="M39" i="1" s="1"/>
  <c r="Q26" i="1"/>
  <c r="Q25" i="1"/>
  <c r="M25" i="1" s="1"/>
  <c r="Q22" i="1"/>
  <c r="Q21" i="1"/>
  <c r="M21" i="1" s="1"/>
  <c r="Q16" i="1"/>
  <c r="Q15" i="1"/>
  <c r="M15" i="1" s="1"/>
  <c r="Q12" i="1"/>
  <c r="Q11" i="1"/>
  <c r="M62" i="1" l="1"/>
  <c r="M74" i="1"/>
  <c r="M40" i="1"/>
  <c r="M44" i="1" s="1"/>
  <c r="M22" i="1"/>
  <c r="M23" i="1" s="1"/>
  <c r="M16" i="1"/>
  <c r="M17" i="1" s="1"/>
  <c r="M26" i="1"/>
  <c r="M27" i="1" s="1"/>
  <c r="M13" i="1"/>
  <c r="R72" i="1"/>
  <c r="R21" i="1"/>
  <c r="R15" i="1"/>
  <c r="R25" i="1"/>
  <c r="R11" i="1"/>
  <c r="S35" i="1"/>
  <c r="M52" i="1"/>
  <c r="J10" i="1"/>
  <c r="J13" i="1" s="1"/>
  <c r="R73" i="1" l="1"/>
  <c r="R74" i="1" s="1"/>
  <c r="R26" i="1"/>
  <c r="R27" i="1" s="1"/>
  <c r="S10" i="1"/>
  <c r="M28" i="1"/>
  <c r="R22" i="1"/>
  <c r="M18" i="1"/>
  <c r="R23" i="1"/>
  <c r="R12" i="1"/>
  <c r="R13" i="1" s="1"/>
  <c r="R16" i="1"/>
  <c r="R17" i="1" s="1"/>
  <c r="R39" i="1"/>
  <c r="R40" i="1" s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D69" i="1"/>
  <c r="J69" i="1" s="1"/>
  <c r="L68" i="1"/>
  <c r="R68" i="1" s="1"/>
  <c r="D68" i="1"/>
  <c r="J68" i="1" s="1"/>
  <c r="L61" i="1"/>
  <c r="R61" i="1" s="1"/>
  <c r="J61" i="1"/>
  <c r="L60" i="1"/>
  <c r="R60" i="1" s="1"/>
  <c r="D60" i="1"/>
  <c r="J60" i="1" s="1"/>
  <c r="L59" i="1"/>
  <c r="R59" i="1" s="1"/>
  <c r="R62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J62" i="1" l="1"/>
  <c r="S62" i="1" s="1"/>
  <c r="S41" i="1"/>
  <c r="J43" i="1"/>
  <c r="R70" i="1"/>
  <c r="R52" i="1"/>
  <c r="S38" i="1"/>
  <c r="J52" i="1"/>
  <c r="S36" i="1"/>
  <c r="S13" i="1"/>
  <c r="S49" i="1"/>
  <c r="S61" i="1"/>
  <c r="S73" i="1"/>
  <c r="J74" i="1"/>
  <c r="S12" i="1"/>
  <c r="S16" i="1"/>
  <c r="S14" i="1"/>
  <c r="J70" i="1"/>
  <c r="S46" i="1"/>
  <c r="S50" i="1"/>
  <c r="S60" i="1"/>
  <c r="S72" i="1"/>
  <c r="S68" i="1"/>
  <c r="S59" i="1"/>
  <c r="S47" i="1"/>
  <c r="S51" i="1"/>
  <c r="S48" i="1"/>
  <c r="R75" i="1" l="1"/>
  <c r="J44" i="1"/>
  <c r="S44" i="1" s="1"/>
  <c r="S43" i="1"/>
  <c r="S74" i="1"/>
  <c r="S52" i="1"/>
  <c r="S17" i="1"/>
  <c r="S70" i="1"/>
  <c r="S28" i="1"/>
  <c r="J75" i="1" l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<sst xmlns="http://schemas.openxmlformats.org/spreadsheetml/2006/main" count="245" uniqueCount="75">
  <si>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</si>
  <si>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</si>
  <si>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</si>
  <si>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</si>
  <si>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</si>
  <si>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</si>
  <si>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</si>
  <si>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</si>
  <si>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</si>
  <si>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</si>
  <si>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</si>
  <si>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</si>
  <si>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</si>
  <si>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</si>
  <si>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</si>
  <si>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</si>
  <si>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</si>
  <si>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</si>
  <si>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</si>
  <si>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</si>
  <si>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</si>
  <si>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</si>
  <si>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</si>
  <si>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</si>
  <si>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</si>
  <si>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</si>
  <si>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</si>
  <si>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</si>
  <si>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</si>
  <si>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</si>
  <si>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</si>
  <si>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</si>
  <si>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Руководитель муниципального образования ________________________  /_______________________/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</si>
  <si>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</si>
  <si>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</si>
  <si>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</si>
  <si>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</si>
  <si>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</si>
  <si>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</si>
  <si>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</si>
  <si>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>ИТОГО объем</t>
  </si>
  <si>
    <t>Приложение № 1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</si>
  <si>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</si>
  <si>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</si>
  <si>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</si>
  <si>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</si>
  <si>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</si>
  <si>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</si>
  <si>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</si>
  <si>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</si>
  <si>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</si>
  <si>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</si>
  <si>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</si>
  <si>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</si>
  <si>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</si>
  <si>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Показатели на декабрь 2021 года</t>
  </si>
  <si>
    <t>Показатели на 2 полугодие 2022 года</t>
  </si>
  <si>
    <t>Прогнозный индекс изменения платы граждан за коммунальные услуги во 2 полугодии 2022 г. к декабрю 2021 г.,%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</si>
  <si>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</si>
  <si>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</si>
  <si>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</si>
  <si>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</si>
  <si>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при отсутствии ПУ:</t>
  </si>
  <si>
    <t>на приготовление пищи</t>
  </si>
  <si>
    <t xml:space="preserve"> на подогрев воды</t>
  </si>
  <si>
    <t>: на отопление</t>
  </si>
  <si>
    <t>1.1.ПАО "ТНС энерго Ростов-на-Дону"</t>
  </si>
  <si>
    <t>1.ООО "Газппром межрегионгаз "Ростов-на-Дону"1.</t>
  </si>
  <si>
    <t>ООО"Экотранс"</t>
  </si>
  <si>
    <t>1.МУП"Водоканал Неклиновского района "</t>
  </si>
  <si>
    <t>марка угля АМ</t>
  </si>
  <si>
    <t>марка угля АО</t>
  </si>
  <si>
    <t xml:space="preserve">ПРОГНОЗНЫЙ  РАСЧЕТ ПРЕДЕЛЬНОГО ИНДЕКСА ИЗМЕНЕНИЯ РАЗМЕРА ПЛАТЫ ГРАЖДАН ЗА КОММУНАЛЬНЫЕ УСЛУГИ
в среднем по муниципальному образованию Федоровское сельское поселение Неклиновского района района Ростовской области
на 2 полугодие 2022 года </t>
  </si>
  <si>
    <t>1.ОАО"Донуголь"</t>
  </si>
  <si>
    <t>2.ОАО"Донуголь"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</si>
</sst>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%"/>
    <numFmt numFmtId="165" formatCode="#,##0.00000"/>
    <numFmt numFmtId="166" formatCode="0.00000"/>
    <numFmt numFmtId="167" formatCode="#,##0.0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topLeftCell="K64" workbookViewId="0">
      <selection activeCell="E73" sqref="E73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110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109" t="s">
        <v>72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114" t="s">
        <v>0</v>
      </c>
      <c r="B4" s="111" t="s">
        <v>42</v>
      </c>
      <c r="C4" s="120" t="s">
        <v>55</v>
      </c>
      <c r="D4" s="120"/>
      <c r="E4" s="120"/>
      <c r="F4" s="120"/>
      <c r="G4" s="120"/>
      <c r="H4" s="120"/>
      <c r="I4" s="120"/>
      <c r="J4" s="121"/>
      <c r="K4" s="114" t="s">
        <v>56</v>
      </c>
      <c r="L4" s="120"/>
      <c r="M4" s="120"/>
      <c r="N4" s="120"/>
      <c r="O4" s="120"/>
      <c r="P4" s="120"/>
      <c r="Q4" s="120"/>
      <c r="R4" s="121"/>
      <c r="S4" s="98" t="s">
        <v>57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115"/>
      <c r="B5" s="112"/>
      <c r="C5" s="104" t="s">
        <v>47</v>
      </c>
      <c r="D5" s="104" t="s">
        <v>48</v>
      </c>
      <c r="E5" s="104" t="s">
        <v>1</v>
      </c>
      <c r="F5" s="104"/>
      <c r="G5" s="104"/>
      <c r="H5" s="104"/>
      <c r="I5" s="104"/>
      <c r="J5" s="117" t="s">
        <v>3</v>
      </c>
      <c r="K5" s="122" t="s">
        <v>47</v>
      </c>
      <c r="L5" s="104" t="s">
        <v>4</v>
      </c>
      <c r="M5" s="104" t="s">
        <v>39</v>
      </c>
      <c r="N5" s="104"/>
      <c r="O5" s="104"/>
      <c r="P5" s="104"/>
      <c r="Q5" s="104"/>
      <c r="R5" s="117" t="s">
        <v>3</v>
      </c>
      <c r="S5" s="99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115"/>
      <c r="B6" s="112"/>
      <c r="C6" s="104"/>
      <c r="D6" s="104"/>
      <c r="E6" s="126" t="s">
        <v>40</v>
      </c>
      <c r="F6" s="101" t="s">
        <v>2</v>
      </c>
      <c r="G6" s="102"/>
      <c r="H6" s="102"/>
      <c r="I6" s="103"/>
      <c r="J6" s="118"/>
      <c r="K6" s="122"/>
      <c r="L6" s="104"/>
      <c r="M6" s="124" t="s">
        <v>40</v>
      </c>
      <c r="N6" s="36"/>
      <c r="O6" s="104" t="s">
        <v>2</v>
      </c>
      <c r="P6" s="104"/>
      <c r="Q6" s="104"/>
      <c r="R6" s="118"/>
      <c r="S6" s="99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116"/>
      <c r="B7" s="113"/>
      <c r="C7" s="105"/>
      <c r="D7" s="105"/>
      <c r="E7" s="127"/>
      <c r="F7" s="50" t="s">
        <v>44</v>
      </c>
      <c r="G7" s="49" t="s">
        <v>50</v>
      </c>
      <c r="H7" s="49" t="s">
        <v>43</v>
      </c>
      <c r="I7" s="49" t="s">
        <v>49</v>
      </c>
      <c r="J7" s="119"/>
      <c r="K7" s="123"/>
      <c r="L7" s="105"/>
      <c r="M7" s="125"/>
      <c r="N7" s="50" t="s">
        <v>51</v>
      </c>
      <c r="O7" s="49" t="s">
        <v>50</v>
      </c>
      <c r="P7" s="49" t="s">
        <v>43</v>
      </c>
      <c r="Q7" s="49" t="s">
        <v>49</v>
      </c>
      <c r="R7" s="119"/>
      <c r="S7" s="100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06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8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89" t="s">
        <v>69</v>
      </c>
      <c r="B10" s="48" t="s">
        <v>23</v>
      </c>
      <c r="C10" s="5">
        <v>81.81</v>
      </c>
      <c r="D10" s="5">
        <v>69.08</v>
      </c>
      <c r="E10" s="83">
        <f>80.118649/12</f>
        <v>6.6765540833333334</v>
      </c>
      <c r="F10" s="37"/>
      <c r="G10" s="30" t="s">
        <v>8</v>
      </c>
      <c r="H10" s="30"/>
      <c r="I10" s="30" t="s">
        <v>8</v>
      </c>
      <c r="J10" s="6">
        <f t="shared" ref="J10:J16" si="0">D10*E10</f>
        <v>461.21635607666667</v>
      </c>
      <c r="K10" s="7">
        <v>84.04</v>
      </c>
      <c r="L10" s="5">
        <v>72.81</v>
      </c>
      <c r="M10" s="62">
        <f>E10</f>
        <v>6.6765540833333334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486.11990280750001</v>
      </c>
      <c r="S10" s="8">
        <f>R10/J10</f>
        <v>1.0539953676896352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94"/>
      <c r="B11" s="48" t="s">
        <v>24</v>
      </c>
      <c r="C11" s="24">
        <v>81.81</v>
      </c>
      <c r="D11" s="24">
        <v>69.08</v>
      </c>
      <c r="E11" s="83">
        <f>F11*I11/1000</f>
        <v>0.26541319999999996</v>
      </c>
      <c r="F11" s="86">
        <f>ROUND(G11*H11,5)</f>
        <v>6.1723999999999997</v>
      </c>
      <c r="G11" s="24">
        <v>7.46</v>
      </c>
      <c r="H11" s="37">
        <v>0.82740000000000002</v>
      </c>
      <c r="I11" s="24">
        <v>43</v>
      </c>
      <c r="J11" s="6">
        <f t="shared" si="0"/>
        <v>18.334743855999996</v>
      </c>
      <c r="K11" s="88">
        <v>84.04</v>
      </c>
      <c r="L11" s="87">
        <v>72.81</v>
      </c>
      <c r="M11" s="62">
        <f>N11*Q11/1000</f>
        <v>0.26541319999999996</v>
      </c>
      <c r="N11" s="36">
        <f>ROUND(O11*P11,5)</f>
        <v>6.1723999999999997</v>
      </c>
      <c r="O11" s="24">
        <f>G11</f>
        <v>7.46</v>
      </c>
      <c r="P11" s="27">
        <v>0.82740000000000002</v>
      </c>
      <c r="Q11" s="24">
        <f>I11</f>
        <v>43</v>
      </c>
      <c r="R11" s="6">
        <f t="shared" si="1"/>
        <v>19.324735091999997</v>
      </c>
      <c r="S11" s="8">
        <f t="shared" ref="S11:S18" si="2">R11/J11</f>
        <v>1.0539953676896352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90"/>
      <c r="B12" s="48" t="s">
        <v>24</v>
      </c>
      <c r="C12" s="85">
        <v>81.81</v>
      </c>
      <c r="D12" s="85">
        <v>69.08</v>
      </c>
      <c r="E12" s="83">
        <f>F12*I12/1000</f>
        <v>4.6292400000000006E-3</v>
      </c>
      <c r="F12" s="82">
        <f>ROUND(G12*H12,5)</f>
        <v>1.54308</v>
      </c>
      <c r="G12" s="5">
        <v>1.64</v>
      </c>
      <c r="H12" s="37">
        <v>0.94089999999999996</v>
      </c>
      <c r="I12" s="5">
        <v>3</v>
      </c>
      <c r="J12" s="6">
        <f t="shared" si="0"/>
        <v>0.31978789920000006</v>
      </c>
      <c r="K12" s="88">
        <v>84.04</v>
      </c>
      <c r="L12" s="87">
        <v>72.81</v>
      </c>
      <c r="M12" s="62">
        <f>N12*Q12/1000</f>
        <v>4.6292400000000006E-3</v>
      </c>
      <c r="N12" s="36">
        <f>ROUND(O12*P12,5)</f>
        <v>1.54308</v>
      </c>
      <c r="O12" s="78">
        <f>G12</f>
        <v>1.64</v>
      </c>
      <c r="P12" s="27">
        <v>0.94089999999999996</v>
      </c>
      <c r="Q12" s="25">
        <f>I12</f>
        <v>3</v>
      </c>
      <c r="R12" s="6">
        <f t="shared" si="1"/>
        <v>0.33705496440000005</v>
      </c>
      <c r="S12" s="8">
        <f t="shared" si="2"/>
        <v>1.0539953676896352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33</v>
      </c>
      <c r="B13" s="39"/>
      <c r="C13" s="40"/>
      <c r="D13" s="40"/>
      <c r="E13" s="84">
        <f>E10+E11+E12</f>
        <v>6.9465965233333336</v>
      </c>
      <c r="F13" s="40"/>
      <c r="G13" s="40"/>
      <c r="H13" s="40"/>
      <c r="I13" s="40"/>
      <c r="J13" s="41">
        <f>SUM(J10:J12)</f>
        <v>479.87088783186664</v>
      </c>
      <c r="K13" s="35"/>
      <c r="L13" s="40"/>
      <c r="M13" s="63">
        <f>M10+M11+M12</f>
        <v>6.9465965233333336</v>
      </c>
      <c r="N13" s="40"/>
      <c r="O13" s="40"/>
      <c r="P13" s="40"/>
      <c r="Q13" s="40"/>
      <c r="R13" s="41">
        <f>SUM(R10:R12)</f>
        <v>505.78169286389999</v>
      </c>
      <c r="S13" s="8">
        <f t="shared" si="2"/>
        <v>1.0539953676896352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89"/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94"/>
      <c r="B15" s="48" t="s">
        <v>24</v>
      </c>
      <c r="C15" s="24"/>
      <c r="D15" s="24"/>
      <c r="E15" s="54">
        <f>F15*I15*12/1000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62">
        <f>N15*Q15*12/1000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90"/>
      <c r="B16" s="48" t="s">
        <v>24</v>
      </c>
      <c r="C16" s="5"/>
      <c r="D16" s="5"/>
      <c r="E16" s="54">
        <f>F16*I16*12/1000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62">
        <f>N16*Q16*12/1000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34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6.9465965233333336</v>
      </c>
      <c r="F18" s="26"/>
      <c r="G18" s="13"/>
      <c r="H18" s="13"/>
      <c r="I18" s="13"/>
      <c r="J18" s="14">
        <f>J13+J17</f>
        <v>479.87088783186664</v>
      </c>
      <c r="K18" s="15"/>
      <c r="L18" s="13"/>
      <c r="M18" s="64">
        <f>M13+M17</f>
        <v>6.9465965233333336</v>
      </c>
      <c r="N18" s="26"/>
      <c r="O18" s="13"/>
      <c r="P18" s="13"/>
      <c r="Q18" s="13"/>
      <c r="R18" s="14">
        <f>R13+R17</f>
        <v>505.78169286389999</v>
      </c>
      <c r="S18" s="16">
        <f t="shared" si="2"/>
        <v>1.0539953676896352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91" t="s">
        <v>10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89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3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4">L20*M20</f>
        <v>0</v>
      </c>
      <c r="S20" s="8" t="e">
        <f t="shared" ref="S20:S28" si="5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94"/>
      <c r="B21" s="48" t="s">
        <v>24</v>
      </c>
      <c r="C21" s="24"/>
      <c r="D21" s="24"/>
      <c r="E21" s="79">
        <f>F21*I21*12/1000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62">
        <f>N21*Q21*12/1000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4"/>
        <v>0</v>
      </c>
      <c r="S21" s="8" t="e">
        <f t="shared" si="5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90"/>
      <c r="B22" s="48" t="s">
        <v>24</v>
      </c>
      <c r="C22" s="24"/>
      <c r="D22" s="24"/>
      <c r="E22" s="79">
        <f>F22*I22*12/1000</f>
        <v>0</v>
      </c>
      <c r="F22" s="78">
        <f>ROUND(G22*H22,5)</f>
        <v>0</v>
      </c>
      <c r="G22" s="24"/>
      <c r="H22" s="37"/>
      <c r="I22" s="24"/>
      <c r="J22" s="6">
        <f t="shared" si="3"/>
        <v>0</v>
      </c>
      <c r="K22" s="23"/>
      <c r="L22" s="24"/>
      <c r="M22" s="62">
        <f>N22*Q22*12/1000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4"/>
        <v>0</v>
      </c>
      <c r="S22" s="8" t="e">
        <f t="shared" si="5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33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5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89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3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4"/>
        <v>0</v>
      </c>
      <c r="S24" s="8" t="e">
        <f t="shared" si="5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94"/>
      <c r="B25" s="48" t="s">
        <v>24</v>
      </c>
      <c r="C25" s="24"/>
      <c r="D25" s="24"/>
      <c r="E25" s="79">
        <f>F25*I25*12/1000</f>
        <v>0</v>
      </c>
      <c r="F25" s="78">
        <f>ROUND(G25*H25,5)</f>
        <v>0</v>
      </c>
      <c r="G25" s="24"/>
      <c r="H25" s="37"/>
      <c r="I25" s="24"/>
      <c r="J25" s="6">
        <f t="shared" si="3"/>
        <v>0</v>
      </c>
      <c r="K25" s="23"/>
      <c r="L25" s="24"/>
      <c r="M25" s="62">
        <f>N25*Q25*12/1000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4"/>
        <v>0</v>
      </c>
      <c r="S25" s="8" t="e">
        <f t="shared" si="5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90"/>
      <c r="B26" s="48" t="s">
        <v>24</v>
      </c>
      <c r="C26" s="24"/>
      <c r="D26" s="24"/>
      <c r="E26" s="79">
        <f>F26*I26*12/1000</f>
        <v>0</v>
      </c>
      <c r="F26" s="78">
        <f>ROUND(G26*H26,5)</f>
        <v>0</v>
      </c>
      <c r="G26" s="24"/>
      <c r="H26" s="37"/>
      <c r="I26" s="24"/>
      <c r="J26" s="6">
        <f t="shared" si="3"/>
        <v>0</v>
      </c>
      <c r="K26" s="23"/>
      <c r="L26" s="24"/>
      <c r="M26" s="62">
        <f>N26*Q26*12/1000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4"/>
        <v>0</v>
      </c>
      <c r="S26" s="8" t="e">
        <f t="shared" si="5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34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5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5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91" t="s">
        <v>12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3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94" t="s">
        <v>6</v>
      </c>
      <c r="B30" s="48" t="s">
        <v>35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6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90"/>
      <c r="B31" s="48" t="s">
        <v>36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O31*P31*M30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6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94" t="s">
        <v>7</v>
      </c>
      <c r="B32" s="48" t="s">
        <v>35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6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90"/>
      <c r="B33" s="48" t="s">
        <v>36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O33*P33*M32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6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37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6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38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6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6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91" t="s">
        <v>14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89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7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90"/>
      <c r="B39" s="48" t="s">
        <v>24</v>
      </c>
      <c r="C39" s="5"/>
      <c r="D39" s="5"/>
      <c r="E39" s="79">
        <f>F39*I39*12/1000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N39*Q39*7/1000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7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33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7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89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7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90"/>
      <c r="B42" s="48" t="s">
        <v>24</v>
      </c>
      <c r="C42" s="5"/>
      <c r="D42" s="5"/>
      <c r="E42" s="79">
        <f>F42*I42*12/1000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62">
        <f>N42*Q42*7/1000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7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34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7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7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91" t="s">
        <v>16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89" t="s">
        <v>66</v>
      </c>
      <c r="B46" s="48" t="s">
        <v>17</v>
      </c>
      <c r="C46" s="5">
        <v>2.98</v>
      </c>
      <c r="D46" s="5">
        <f>C46</f>
        <v>2.98</v>
      </c>
      <c r="E46" s="54">
        <f>2327.27/12</f>
        <v>193.93916666666667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8">D46*E46</f>
        <v>577.93871666666666</v>
      </c>
      <c r="K46" s="7">
        <v>3.1</v>
      </c>
      <c r="L46" s="5">
        <f>K46</f>
        <v>3.1</v>
      </c>
      <c r="M46" s="62">
        <f>E46</f>
        <v>193.93916666666667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9">L46*M46</f>
        <v>601.21141666666665</v>
      </c>
      <c r="S46" s="8">
        <f t="shared" ref="S46:S52" si="10">R46/J46</f>
        <v>1.0402684563758389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94"/>
      <c r="B47" s="48" t="s">
        <v>18</v>
      </c>
      <c r="C47" s="5">
        <v>3.42</v>
      </c>
      <c r="D47" s="5">
        <f t="shared" ref="D47:D51" si="11">C47</f>
        <v>3.42</v>
      </c>
      <c r="E47" s="54">
        <f>4.9/12</f>
        <v>0.40833333333333338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8"/>
        <v>1.3965000000000001</v>
      </c>
      <c r="K47" s="7">
        <v>3.56</v>
      </c>
      <c r="L47" s="5">
        <f t="shared" ref="L47:L51" si="12">K47</f>
        <v>3.56</v>
      </c>
      <c r="M47" s="62">
        <f t="shared" ref="M47:M51" si="13">E47</f>
        <v>0.40833333333333338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9"/>
        <v>1.4536666666666669</v>
      </c>
      <c r="S47" s="8">
        <f t="shared" si="10"/>
        <v>1.0409356725146199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94"/>
      <c r="B48" s="48" t="s">
        <v>19</v>
      </c>
      <c r="C48" s="5">
        <v>1.79</v>
      </c>
      <c r="D48" s="5">
        <f t="shared" si="11"/>
        <v>1.79</v>
      </c>
      <c r="E48" s="54">
        <f>3.17/12</f>
        <v>0.26416666666666666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8"/>
        <v>0.47285833333333332</v>
      </c>
      <c r="K48" s="7">
        <v>1.86</v>
      </c>
      <c r="L48" s="5">
        <f t="shared" si="12"/>
        <v>1.86</v>
      </c>
      <c r="M48" s="62">
        <f t="shared" si="13"/>
        <v>0.26416666666666666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9"/>
        <v>0.49135000000000001</v>
      </c>
      <c r="S48" s="8">
        <f t="shared" si="10"/>
        <v>1.0391061452513968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94"/>
      <c r="B49" s="48" t="s">
        <v>20</v>
      </c>
      <c r="C49" s="5"/>
      <c r="D49" s="5">
        <f t="shared" si="11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8"/>
        <v>0</v>
      </c>
      <c r="K49" s="7"/>
      <c r="L49" s="5">
        <f t="shared" si="12"/>
        <v>0</v>
      </c>
      <c r="M49" s="62">
        <f t="shared" si="13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9"/>
        <v>0</v>
      </c>
      <c r="S49" s="8" t="e">
        <f t="shared" si="10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94"/>
      <c r="B50" s="48" t="s">
        <v>21</v>
      </c>
      <c r="C50" s="5"/>
      <c r="D50" s="5">
        <f t="shared" si="11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8"/>
        <v>0</v>
      </c>
      <c r="K50" s="7"/>
      <c r="L50" s="5">
        <f t="shared" si="12"/>
        <v>0</v>
      </c>
      <c r="M50" s="62">
        <f t="shared" si="13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9"/>
        <v>0</v>
      </c>
      <c r="S50" s="8" t="e">
        <f t="shared" si="10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90"/>
      <c r="B51" s="48" t="s">
        <v>22</v>
      </c>
      <c r="C51" s="5"/>
      <c r="D51" s="5">
        <f t="shared" si="11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8"/>
        <v>0</v>
      </c>
      <c r="K51" s="7"/>
      <c r="L51" s="5">
        <f t="shared" si="12"/>
        <v>0</v>
      </c>
      <c r="M51" s="62">
        <f t="shared" si="13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9"/>
        <v>0</v>
      </c>
      <c r="S51" s="8" t="e">
        <f t="shared" si="10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194.61166666666665</v>
      </c>
      <c r="F52" s="26"/>
      <c r="G52" s="13"/>
      <c r="H52" s="13"/>
      <c r="I52" s="13"/>
      <c r="J52" s="14">
        <f>SUM(J46:J51)</f>
        <v>579.80807499999992</v>
      </c>
      <c r="K52" s="15"/>
      <c r="L52" s="13"/>
      <c r="M52" s="64">
        <f>SUM(M46:M51)</f>
        <v>194.61166666666665</v>
      </c>
      <c r="N52" s="26"/>
      <c r="O52" s="13"/>
      <c r="P52" s="13"/>
      <c r="Q52" s="13"/>
      <c r="R52" s="14">
        <f>SUM(R46:R51)</f>
        <v>603.15643333333333</v>
      </c>
      <c r="S52" s="16">
        <f t="shared" si="10"/>
        <v>1.0402691154884889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91" t="s">
        <v>26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89" t="s">
        <v>67</v>
      </c>
      <c r="B54" s="95" t="s">
        <v>58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94"/>
      <c r="B55" s="48" t="s">
        <v>59</v>
      </c>
      <c r="C55" s="78">
        <v>6.71</v>
      </c>
      <c r="D55" s="78">
        <f t="shared" ref="D55:D57" si="14">C55</f>
        <v>6.71</v>
      </c>
      <c r="E55" s="79">
        <f>88.399/12</f>
        <v>7.3665833333333337</v>
      </c>
      <c r="F55" s="78"/>
      <c r="G55" s="30" t="s">
        <v>8</v>
      </c>
      <c r="H55" s="30"/>
      <c r="I55" s="30" t="s">
        <v>8</v>
      </c>
      <c r="J55" s="6">
        <f t="shared" ref="J55:J57" si="15">D55*E55</f>
        <v>49.429774166666668</v>
      </c>
      <c r="K55" s="80">
        <v>6.91</v>
      </c>
      <c r="L55" s="78">
        <f>K55</f>
        <v>6.91</v>
      </c>
      <c r="M55" s="81">
        <f>E55</f>
        <v>7.3665833333333337</v>
      </c>
      <c r="N55" s="78"/>
      <c r="O55" s="30" t="s">
        <v>8</v>
      </c>
      <c r="P55" s="78" t="s">
        <v>8</v>
      </c>
      <c r="Q55" s="30" t="s">
        <v>8</v>
      </c>
      <c r="R55" s="6">
        <f>L55*M55</f>
        <v>50.903090833333337</v>
      </c>
      <c r="S55" s="8">
        <f>R55/J55</f>
        <v>1.0298062593144561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94"/>
      <c r="B56" s="48" t="s">
        <v>60</v>
      </c>
      <c r="C56" s="78">
        <v>6.67</v>
      </c>
      <c r="D56" s="78">
        <f t="shared" si="14"/>
        <v>6.67</v>
      </c>
      <c r="E56" s="79">
        <f>272.99/12</f>
        <v>22.749166666666667</v>
      </c>
      <c r="F56" s="78"/>
      <c r="G56" s="30" t="s">
        <v>8</v>
      </c>
      <c r="H56" s="30"/>
      <c r="I56" s="30" t="s">
        <v>8</v>
      </c>
      <c r="J56" s="6">
        <f t="shared" si="15"/>
        <v>151.73694166666667</v>
      </c>
      <c r="K56" s="80">
        <v>6.87</v>
      </c>
      <c r="L56" s="78">
        <f>K56</f>
        <v>6.87</v>
      </c>
      <c r="M56" s="81">
        <f>E56</f>
        <v>22.749166666666667</v>
      </c>
      <c r="N56" s="78"/>
      <c r="O56" s="30" t="s">
        <v>8</v>
      </c>
      <c r="P56" s="78" t="s">
        <v>8</v>
      </c>
      <c r="Q56" s="30" t="s">
        <v>8</v>
      </c>
      <c r="R56" s="6">
        <f>L56*M56</f>
        <v>156.28677500000001</v>
      </c>
      <c r="S56" s="8">
        <f>R56/J56</f>
        <v>1.029985007496252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94"/>
      <c r="B57" s="48" t="s">
        <v>61</v>
      </c>
      <c r="C57" s="78">
        <v>6.5590000000000002</v>
      </c>
      <c r="D57" s="78">
        <f t="shared" si="14"/>
        <v>6.5590000000000002</v>
      </c>
      <c r="E57" s="79">
        <f>3695.43/12</f>
        <v>307.95249999999999</v>
      </c>
      <c r="F57" s="78"/>
      <c r="G57" s="30" t="s">
        <v>8</v>
      </c>
      <c r="H57" s="30"/>
      <c r="I57" s="30" t="s">
        <v>8</v>
      </c>
      <c r="J57" s="6">
        <f t="shared" si="15"/>
        <v>2019.8604475</v>
      </c>
      <c r="K57" s="80">
        <v>6.7557700000000001</v>
      </c>
      <c r="L57" s="78">
        <f>K57</f>
        <v>6.7557700000000001</v>
      </c>
      <c r="M57" s="81">
        <f>E57</f>
        <v>307.95249999999999</v>
      </c>
      <c r="N57" s="78"/>
      <c r="O57" s="30" t="s">
        <v>8</v>
      </c>
      <c r="P57" s="78" t="s">
        <v>8</v>
      </c>
      <c r="Q57" s="30" t="s">
        <v>8</v>
      </c>
      <c r="R57" s="6">
        <f>L57*M57</f>
        <v>2080.4562609249997</v>
      </c>
      <c r="S57" s="8">
        <f>R57/J57</f>
        <v>1.0299999999999998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94"/>
      <c r="B58" s="95" t="s">
        <v>62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94"/>
      <c r="B59" s="48" t="s">
        <v>63</v>
      </c>
      <c r="C59" s="5">
        <v>6.71</v>
      </c>
      <c r="D59" s="5">
        <f>C59</f>
        <v>6.71</v>
      </c>
      <c r="E59" s="54">
        <f>G59*I59/1000</f>
        <v>0.13</v>
      </c>
      <c r="F59" s="78" t="s">
        <v>8</v>
      </c>
      <c r="G59" s="5">
        <v>13</v>
      </c>
      <c r="H59" s="78" t="s">
        <v>8</v>
      </c>
      <c r="I59" s="5">
        <v>10</v>
      </c>
      <c r="J59" s="6">
        <f>D59*E59</f>
        <v>0.87230000000000008</v>
      </c>
      <c r="K59" s="7">
        <v>6.91</v>
      </c>
      <c r="L59" s="5">
        <f>K59</f>
        <v>6.91</v>
      </c>
      <c r="M59" s="62">
        <f>O59*Q59/1000</f>
        <v>0.13</v>
      </c>
      <c r="N59" s="78" t="s">
        <v>8</v>
      </c>
      <c r="O59" s="24">
        <f t="shared" ref="O59:O61" si="16">G59</f>
        <v>13</v>
      </c>
      <c r="P59" s="27" t="s">
        <v>8</v>
      </c>
      <c r="Q59" s="25">
        <f>I59</f>
        <v>10</v>
      </c>
      <c r="R59" s="6">
        <f>L59*M59</f>
        <v>0.8983000000000001</v>
      </c>
      <c r="S59" s="8">
        <f>R59/J59</f>
        <v>1.0298062593144561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94"/>
      <c r="B60" s="48" t="s">
        <v>64</v>
      </c>
      <c r="C60" s="5">
        <v>6.67</v>
      </c>
      <c r="D60" s="5">
        <f>C60</f>
        <v>6.67</v>
      </c>
      <c r="E60" s="54">
        <f>G60*I60/1000</f>
        <v>0.41299999999999998</v>
      </c>
      <c r="F60" s="78" t="s">
        <v>8</v>
      </c>
      <c r="G60" s="5">
        <v>16.52</v>
      </c>
      <c r="H60" s="78" t="s">
        <v>8</v>
      </c>
      <c r="I60" s="5">
        <v>25</v>
      </c>
      <c r="J60" s="6">
        <f>D60*E60</f>
        <v>2.7547099999999998</v>
      </c>
      <c r="K60" s="7">
        <v>6.91</v>
      </c>
      <c r="L60" s="5">
        <f>K60</f>
        <v>6.91</v>
      </c>
      <c r="M60" s="62">
        <f>O60*Q60/1000</f>
        <v>0.41299999999999998</v>
      </c>
      <c r="N60" s="78" t="s">
        <v>8</v>
      </c>
      <c r="O60" s="24">
        <f t="shared" si="16"/>
        <v>16.52</v>
      </c>
      <c r="P60" s="27" t="s">
        <v>8</v>
      </c>
      <c r="Q60" s="25">
        <f>I60</f>
        <v>25</v>
      </c>
      <c r="R60" s="6">
        <f>L60*M60</f>
        <v>2.8538299999999999</v>
      </c>
      <c r="S60" s="8">
        <f>R60/J60</f>
        <v>1.0359820089955023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90"/>
      <c r="B61" s="48" t="s">
        <v>65</v>
      </c>
      <c r="C61" s="5">
        <v>6.5590000000000002</v>
      </c>
      <c r="D61" s="5">
        <f>C61</f>
        <v>6.5590000000000002</v>
      </c>
      <c r="E61" s="54">
        <f>G61*I61/1000</f>
        <v>9.7157720000000012</v>
      </c>
      <c r="F61" s="78" t="s">
        <v>8</v>
      </c>
      <c r="G61" s="5">
        <v>12.4</v>
      </c>
      <c r="H61" s="78" t="s">
        <v>8</v>
      </c>
      <c r="I61" s="5">
        <v>783.53</v>
      </c>
      <c r="J61" s="6">
        <f>D61*E61</f>
        <v>63.725748548000013</v>
      </c>
      <c r="K61" s="7">
        <v>6.7557700000000001</v>
      </c>
      <c r="L61" s="5">
        <f>K61</f>
        <v>6.7557700000000001</v>
      </c>
      <c r="M61" s="62">
        <f>O61*Q61/1000</f>
        <v>9.7157720000000012</v>
      </c>
      <c r="N61" s="78" t="s">
        <v>8</v>
      </c>
      <c r="O61" s="24">
        <f t="shared" si="16"/>
        <v>12.4</v>
      </c>
      <c r="P61" s="27" t="s">
        <v>8</v>
      </c>
      <c r="Q61" s="25">
        <f>I61</f>
        <v>783.53</v>
      </c>
      <c r="R61" s="6">
        <f>L61*M61</f>
        <v>65.637521004440003</v>
      </c>
      <c r="S61" s="8">
        <f>R61/J61</f>
        <v>1.0299999999999998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348.327022</v>
      </c>
      <c r="F62" s="26"/>
      <c r="G62" s="13"/>
      <c r="H62" s="13"/>
      <c r="I62" s="13"/>
      <c r="J62" s="26">
        <f>J55+J56+J57+J59+J60+J61</f>
        <v>2288.3799218813333</v>
      </c>
      <c r="K62" s="15"/>
      <c r="L62" s="13"/>
      <c r="M62" s="56">
        <f>M55+M56+M57+M59+M60+M61</f>
        <v>348.327022</v>
      </c>
      <c r="N62" s="26"/>
      <c r="O62" s="13"/>
      <c r="P62" s="13"/>
      <c r="Q62" s="13"/>
      <c r="R62" s="26">
        <f>R55+R56+R57+R59+R60+R61</f>
        <v>2357.0357777627728</v>
      </c>
      <c r="S62" s="16">
        <f>R62/J62</f>
        <v>1.030001948201414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91" t="s">
        <v>52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G64*I64*7/1000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N64*Q64*12/1000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54">
        <f>G65*I65*7/1000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N65*Q65*12/1000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91" t="s">
        <v>53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3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73</v>
      </c>
      <c r="B68" s="48" t="s">
        <v>70</v>
      </c>
      <c r="C68" s="5">
        <v>5069</v>
      </c>
      <c r="D68" s="5">
        <f>C68</f>
        <v>5069</v>
      </c>
      <c r="E68" s="54">
        <f>0.85/7</f>
        <v>0.12142857142857143</v>
      </c>
      <c r="F68" s="78" t="s">
        <v>8</v>
      </c>
      <c r="G68" s="30" t="s">
        <v>8</v>
      </c>
      <c r="H68" s="30" t="s">
        <v>8</v>
      </c>
      <c r="I68" s="30" t="s">
        <v>8</v>
      </c>
      <c r="J68" s="6">
        <f>D68*E68</f>
        <v>615.5214285714286</v>
      </c>
      <c r="K68" s="5">
        <v>5266.69</v>
      </c>
      <c r="L68" s="5">
        <f>K68</f>
        <v>5266.69</v>
      </c>
      <c r="M68" s="62">
        <f>E68</f>
        <v>0.12142857142857143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639.52664285714275</v>
      </c>
      <c r="S68" s="8">
        <f>R68/J68</f>
        <v>1.0389998027224303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74</v>
      </c>
      <c r="B69" s="48" t="s">
        <v>71</v>
      </c>
      <c r="C69" s="5">
        <v>6269</v>
      </c>
      <c r="D69" s="5">
        <f>C69</f>
        <v>6269</v>
      </c>
      <c r="E69" s="54">
        <f>0.2942/7</f>
        <v>4.2028571428571429E-2</v>
      </c>
      <c r="F69" s="78" t="s">
        <v>8</v>
      </c>
      <c r="G69" s="30" t="s">
        <v>8</v>
      </c>
      <c r="H69" s="30" t="s">
        <v>8</v>
      </c>
      <c r="I69" s="30" t="s">
        <v>8</v>
      </c>
      <c r="J69" s="6">
        <f>D69*E69</f>
        <v>263.47711428571426</v>
      </c>
      <c r="K69" s="5">
        <v>6513.49</v>
      </c>
      <c r="L69" s="5">
        <f>K69</f>
        <v>6513.49</v>
      </c>
      <c r="M69" s="62">
        <f>E69</f>
        <v>4.2028571428571429E-2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273.7526797142857</v>
      </c>
      <c r="S69" s="8">
        <f>R69/J69</f>
        <v>1.0389998404849259</v>
      </c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0.16345714285714286</v>
      </c>
      <c r="F70" s="26"/>
      <c r="G70" s="13"/>
      <c r="H70" s="13"/>
      <c r="I70" s="13"/>
      <c r="J70" s="14">
        <f>SUM(J68:J69)</f>
        <v>878.99854285714287</v>
      </c>
      <c r="K70" s="15"/>
      <c r="L70" s="13"/>
      <c r="M70" s="64">
        <f>SUM(M68:M69)</f>
        <v>0.16345714285714286</v>
      </c>
      <c r="N70" s="26"/>
      <c r="O70" s="13"/>
      <c r="P70" s="13"/>
      <c r="Q70" s="13"/>
      <c r="R70" s="14">
        <f>SUM(R68:R69)</f>
        <v>913.27932257142845</v>
      </c>
      <c r="S70" s="16">
        <f>R70/J70</f>
        <v>1.0389998140416223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91" t="s">
        <v>54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3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89" t="s">
        <v>68</v>
      </c>
      <c r="B72" s="48" t="s">
        <v>45</v>
      </c>
      <c r="C72" s="5"/>
      <c r="D72" s="5"/>
      <c r="E72" s="54">
        <f>F72*I72*12/1000</f>
        <v>0</v>
      </c>
      <c r="F72" s="78">
        <f>ROUND(G72*H72,6)</f>
        <v>0</v>
      </c>
      <c r="G72" s="5"/>
      <c r="H72" s="37"/>
      <c r="I72" s="5"/>
      <c r="J72" s="6">
        <f>D72*E72</f>
        <v>0</v>
      </c>
      <c r="K72" s="7"/>
      <c r="L72" s="5"/>
      <c r="M72" s="62">
        <f>N72*P72*Q72*12/1000</f>
        <v>0</v>
      </c>
      <c r="N72" s="78">
        <f>ROUND(O72*P72,6)</f>
        <v>0</v>
      </c>
      <c r="O72" s="24">
        <f>G72</f>
        <v>0</v>
      </c>
      <c r="P72" s="27"/>
      <c r="Q72" s="25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90"/>
      <c r="B73" s="48" t="s">
        <v>46</v>
      </c>
      <c r="C73" s="5">
        <v>823.12</v>
      </c>
      <c r="D73" s="5">
        <v>566.11</v>
      </c>
      <c r="E73" s="79">
        <f>F73*I73/1000</f>
        <v>0.57195000000000007</v>
      </c>
      <c r="F73" s="78">
        <f>ROUND(G73*H73,6)</f>
        <v>0.155</v>
      </c>
      <c r="G73" s="5">
        <v>0.155</v>
      </c>
      <c r="H73" s="37">
        <v>1</v>
      </c>
      <c r="I73" s="5">
        <v>3690</v>
      </c>
      <c r="J73" s="6">
        <f>D73*E73</f>
        <v>323.78661450000004</v>
      </c>
      <c r="K73" s="7">
        <v>823.12</v>
      </c>
      <c r="L73" s="5">
        <v>596.66999999999996</v>
      </c>
      <c r="M73" s="81">
        <f>N73*P73*Q73/1000</f>
        <v>0.57195000000000007</v>
      </c>
      <c r="N73" s="78">
        <f>ROUND(O73*P73,6)</f>
        <v>0.155</v>
      </c>
      <c r="O73" s="24">
        <f>G73</f>
        <v>0.155</v>
      </c>
      <c r="P73" s="27">
        <v>1</v>
      </c>
      <c r="Q73" s="25">
        <f>I73</f>
        <v>3690</v>
      </c>
      <c r="R73" s="6">
        <f>L73*M73</f>
        <v>341.26540650000004</v>
      </c>
      <c r="S73" s="8">
        <f>R73/J73</f>
        <v>1.053982441574959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0.57195000000000007</v>
      </c>
      <c r="F74" s="26"/>
      <c r="G74" s="13"/>
      <c r="H74" s="13"/>
      <c r="I74" s="13">
        <f>I72+I73</f>
        <v>3690</v>
      </c>
      <c r="J74" s="14">
        <f>SUM(J72:J73)</f>
        <v>323.78661450000004</v>
      </c>
      <c r="K74" s="15"/>
      <c r="L74" s="13"/>
      <c r="M74" s="64">
        <f>SUM(M72:M73)</f>
        <v>0.57195000000000007</v>
      </c>
      <c r="N74" s="26"/>
      <c r="O74" s="13"/>
      <c r="P74" s="13"/>
      <c r="Q74" s="13"/>
      <c r="R74" s="14">
        <f>SUM(R72:R73)</f>
        <v>341.26540650000004</v>
      </c>
      <c r="S74" s="16">
        <f>R74/J74</f>
        <v>1.053982441574959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4550.8440420703428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4720.5186330314345</v>
      </c>
      <c r="S75" s="22">
        <f>R75/J75</f>
        <v>1.0372842025330977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32</v>
      </c>
    </row>
    <row r="80" spans="1:29" x14ac:dyDescent="0.25">
      <c r="E80" s="60" t="s">
        <v>31</v>
      </c>
    </row>
  </sheetData>
  <autoFilter ref="A8:AC75"/>
  <mergeCells count="41"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</mergeCells>
  <pageMargins left="0.51181102362204722" right="0.31496062992125984" top="0.55118110236220474" bottom="0.35433070866141736" header="0" footer="0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год</vt:lpstr>
      <vt:lpstr>'СРЕД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ПК</cp:lastModifiedBy>
  <cp:lastPrinted>2019-09-12T09:13:36Z</cp:lastPrinted>
  <dcterms:created xsi:type="dcterms:W3CDTF">2019-09-09T08:13:25Z</dcterms:created>
  <dcterms:modified xsi:type="dcterms:W3CDTF">2021-11-11T13:25:58Z</dcterms:modified>
</cp:coreProperties>
</file>